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David\Downloads\"/>
    </mc:Choice>
  </mc:AlternateContent>
  <bookViews>
    <workbookView xWindow="0" yWindow="0" windowWidth="21270" windowHeight="5685" activeTab="2"/>
  </bookViews>
  <sheets>
    <sheet name="Instructions" sheetId="3" r:id="rId1"/>
    <sheet name="Inputs and Assumptions" sheetId="1" r:id="rId2"/>
    <sheet name="Comparison" sheetId="2" r:id="rId3"/>
  </sheets>
  <definedNames>
    <definedName name="_MailAutoSig" localSheetId="1">'Inputs and Assumptions'!$F$5</definedName>
    <definedName name="_xlnm.Print_Area" localSheetId="1">'Inputs and Assumptions'!$A$4:$H$61</definedName>
    <definedName name="_xlnm.Print_Titles" localSheetId="1">'Inputs and Assumptions'!$15:$16</definedName>
  </definedNames>
  <calcPr calcId="152511"/>
</workbook>
</file>

<file path=xl/calcChain.xml><?xml version="1.0" encoding="utf-8"?>
<calcChain xmlns="http://schemas.openxmlformats.org/spreadsheetml/2006/main">
  <c r="E17" i="2" l="1"/>
  <c r="D14" i="2" l="1"/>
  <c r="D6" i="2"/>
  <c r="F35" i="1" l="1"/>
  <c r="D9" i="1"/>
  <c r="G27" i="1" l="1"/>
  <c r="F27" i="1"/>
  <c r="G44" i="1" l="1"/>
  <c r="G42" i="1"/>
  <c r="G41" i="1"/>
  <c r="G39" i="1"/>
  <c r="F55" i="1" l="1"/>
  <c r="G55" i="1" s="1"/>
  <c r="F34" i="1"/>
  <c r="F24" i="1"/>
  <c r="F22" i="1"/>
  <c r="D43" i="1"/>
  <c r="G43" i="1" s="1"/>
  <c r="D40" i="1"/>
  <c r="G40" i="1" s="1"/>
  <c r="E16" i="2" s="1"/>
  <c r="D31" i="1"/>
  <c r="G31" i="1" s="1"/>
  <c r="E15" i="2" s="1"/>
  <c r="E18" i="2" l="1"/>
  <c r="E19" i="2" s="1"/>
  <c r="D18" i="2"/>
  <c r="D51" i="1"/>
  <c r="G35" i="1"/>
  <c r="F52" i="1" l="1"/>
  <c r="G52" i="1" s="1"/>
  <c r="F51" i="1"/>
  <c r="G51" i="1" s="1"/>
  <c r="D10" i="2" l="1"/>
  <c r="F50" i="1"/>
  <c r="G50" i="1" s="1"/>
  <c r="E10" i="2" s="1"/>
  <c r="F59" i="1"/>
  <c r="D61" i="1"/>
  <c r="F26" i="1"/>
  <c r="G26" i="1" s="1"/>
  <c r="D19" i="2"/>
  <c r="G56" i="1"/>
  <c r="G47" i="1"/>
  <c r="D59" i="1"/>
  <c r="D11" i="2" l="1"/>
  <c r="D24" i="2" s="1"/>
  <c r="G59" i="1"/>
  <c r="G60" i="1" s="1"/>
  <c r="E21" i="2" s="1"/>
  <c r="G30" i="1"/>
  <c r="G24" i="1"/>
  <c r="G22" i="1"/>
  <c r="G19" i="1"/>
  <c r="D25" i="2" l="1"/>
  <c r="E8" i="2"/>
  <c r="G61" i="1"/>
  <c r="D21" i="2" s="1"/>
  <c r="D27" i="2" s="1"/>
  <c r="F25" i="1"/>
  <c r="G25" i="1" s="1"/>
  <c r="F23" i="1"/>
  <c r="G23" i="1" s="1"/>
  <c r="E9" i="2" l="1"/>
  <c r="E11" i="2" s="1"/>
  <c r="E24" i="2" s="1"/>
  <c r="E27" i="2" l="1"/>
  <c r="E25" i="2"/>
</calcChain>
</file>

<file path=xl/sharedStrings.xml><?xml version="1.0" encoding="utf-8"?>
<sst xmlns="http://schemas.openxmlformats.org/spreadsheetml/2006/main" count="168" uniqueCount="112">
  <si>
    <t>Windows Server 2012</t>
  </si>
  <si>
    <t>Windows Server 2012 CALs</t>
  </si>
  <si>
    <t>Exchange 2013 Server Standard</t>
  </si>
  <si>
    <t>Exchange 2013 Standard User CALs</t>
  </si>
  <si>
    <t>Hardware</t>
  </si>
  <si>
    <t>Software</t>
  </si>
  <si>
    <t>Set-Up</t>
  </si>
  <si>
    <t>Storage</t>
  </si>
  <si>
    <t>Average mailbox size per user in GB</t>
  </si>
  <si>
    <t>Migration cost per mailbox using Migration Wiz, Binary Tree, or other tool</t>
  </si>
  <si>
    <t>Cost</t>
  </si>
  <si>
    <t>1 time</t>
  </si>
  <si>
    <t>Support</t>
  </si>
  <si>
    <t>Downtime</t>
  </si>
  <si>
    <t>Datacenter costs</t>
  </si>
  <si>
    <t>Monthly Power/Cooling</t>
  </si>
  <si>
    <t>Barracuda Message Archiver 150 (up to 150 mailboxes)</t>
  </si>
  <si>
    <t>Barracuda Message Archiver 450  (up to 450 mailboxes)</t>
  </si>
  <si>
    <t>Migration</t>
  </si>
  <si>
    <t>Office Standard 2013 (perpetual license)</t>
  </si>
  <si>
    <t>Average minutes of on-prem unplanned downtime per month</t>
  </si>
  <si>
    <t>Total 1 time costs</t>
  </si>
  <si>
    <t>Total monthly costs</t>
  </si>
  <si>
    <t xml:space="preserve">Exchange </t>
  </si>
  <si>
    <t>AV/AS appliance updates and instant replacement</t>
  </si>
  <si>
    <t>Updates and instant replacement</t>
  </si>
  <si>
    <t>Mirrored cloud storage for redundancy</t>
  </si>
  <si>
    <t>Other on-premise platform (IBM, Novell, Oracle, or other)</t>
  </si>
  <si>
    <t>No current email platform</t>
  </si>
  <si>
    <t>Server -  Dell PowerEdge R730 with 4-hr onsite service</t>
  </si>
  <si>
    <t xml:space="preserve">IT hours required to Migrate to new system per 50 mailboxes </t>
  </si>
  <si>
    <t>Type of charge</t>
  </si>
  <si>
    <t>Server</t>
  </si>
  <si>
    <t>Mailbox</t>
  </si>
  <si>
    <t>Appliance</t>
  </si>
  <si>
    <t>User</t>
  </si>
  <si>
    <t>Exchange + Archiving</t>
  </si>
  <si>
    <t>IT hours to update local clients, mobile devices and desktops  (all scenarios)</t>
  </si>
  <si>
    <t>GB</t>
  </si>
  <si>
    <t>Account</t>
  </si>
  <si>
    <t>Total Based on Inputs</t>
  </si>
  <si>
    <t>Per unit</t>
  </si>
  <si>
    <t>Units required</t>
  </si>
  <si>
    <t>One-time costs</t>
  </si>
  <si>
    <t>Total Year 1 costs</t>
  </si>
  <si>
    <t>Step 2: Review and Adjust any green Assumptions fields</t>
  </si>
  <si>
    <t>Step 1: Input information about your environment in the orange fields</t>
  </si>
  <si>
    <t xml:space="preserve">Type of set-up </t>
  </si>
  <si>
    <t>Choose Your Plan</t>
  </si>
  <si>
    <t>Cloud provider (Google, Rackspace, App River, or other)</t>
  </si>
  <si>
    <t>Average employee salary</t>
  </si>
  <si>
    <t>Hourly IT rate</t>
  </si>
  <si>
    <t>Annual</t>
  </si>
  <si>
    <t>Step 3: View the Comparison tab to see Results</t>
  </si>
  <si>
    <t>Monthly</t>
  </si>
  <si>
    <t>Minute</t>
  </si>
  <si>
    <t>Lookup tables - will be hidden:</t>
  </si>
  <si>
    <t xml:space="preserve">Average IT hours per month for moves, adds, deletes and changes </t>
  </si>
  <si>
    <t>Average IT hours per month for maintenance, monitoring, break/fix on-prem</t>
  </si>
  <si>
    <t>Neither</t>
  </si>
  <si>
    <t>Archiving (if Exchange + Archiving plan, otherwise, not included in comparison)</t>
  </si>
  <si>
    <t>Anti-Virus/Anti-Spam</t>
  </si>
  <si>
    <t>Set-up and Migration</t>
  </si>
  <si>
    <t>Hardware Appliance (1 version depending on # of mailboxes)</t>
  </si>
  <si>
    <t xml:space="preserve">Hardware and Appliances </t>
  </si>
  <si>
    <t>Outlook (perpetual license)</t>
  </si>
  <si>
    <t>Monthly recurring costs</t>
  </si>
  <si>
    <t>AV/AS service fees</t>
  </si>
  <si>
    <t>Compliant Archiving service fees</t>
  </si>
  <si>
    <t>Support costs</t>
  </si>
  <si>
    <t>Total 3 Year costs</t>
  </si>
  <si>
    <t>Total 3 Year costs with Downtime</t>
  </si>
  <si>
    <t>On-Premise Exchange with integrated Archiving</t>
  </si>
  <si>
    <t>Monthly downtime costs</t>
  </si>
  <si>
    <t>Step 3: Comparison based on inputs and assumptions</t>
  </si>
  <si>
    <t>Monthly Downtime represents lost productivity and not a business expense, and is calculated separate from Total monthly costs.  Its impact is displayed in total 3 Year costs.</t>
  </si>
  <si>
    <t>Exchange and professional service fees</t>
  </si>
  <si>
    <t># of Mailboxes</t>
  </si>
  <si>
    <t>Exchange</t>
  </si>
  <si>
    <t>Office</t>
  </si>
  <si>
    <t>Outlook Only</t>
  </si>
  <si>
    <t>Exchange 2007 or earlier on-premise</t>
  </si>
  <si>
    <t>Exchange 2010 on-premise</t>
  </si>
  <si>
    <t xml:space="preserve">Choose current email platform </t>
  </si>
  <si>
    <t>Enter price per Mailbox of hosted service</t>
  </si>
  <si>
    <t>Include Office or Outlook?</t>
  </si>
  <si>
    <t>AV/AS appliance - Barracuda Spam 
Firewall 300</t>
  </si>
  <si>
    <t xml:space="preserve">Average minutes downtime per month with 99.999% SLA </t>
  </si>
  <si>
    <t>Cost per GB for SAN using 10 K SCSI Fiber Channel Disks  - per server</t>
  </si>
  <si>
    <t>Per employee cost per minute of downtime based on average employee salary</t>
  </si>
  <si>
    <t>This cost comparison calculator is provided for informational use only and does not constitute financial advice.  Although cost assumptions relating to the On-Premise solution are derived from industry benchmarks and market level pricing, they are hypothetical and may not be applicable to your specific situation.  Provider is not responsible for discrepancies between the calculated results and the actual cost.  All information is provided "As-is" and provider disclaims any and all warranties, whether expressed or implied, in connection with the accuracy, completeness, functionality or any other aspect of this cost calculator.</t>
  </si>
  <si>
    <t xml:space="preserve">Cost Comparison Calculator:  Cloud vs. On-Premise Exchange </t>
  </si>
  <si>
    <t xml:space="preserve">Prepared by:  </t>
  </si>
  <si>
    <t xml:space="preserve">Prepared by: </t>
  </si>
  <si>
    <t>Use our cost savings calculator to determine customer cost savings.  Work with the customer to determine the right inputs based upon their business needs.</t>
  </si>
  <si>
    <r>
      <t>1.</t>
    </r>
    <r>
      <rPr>
        <b/>
        <sz val="14"/>
        <color theme="1"/>
        <rFont val="Times New Roman"/>
        <family val="1"/>
      </rPr>
      <t xml:space="preserve">       </t>
    </r>
    <r>
      <rPr>
        <b/>
        <sz val="14"/>
        <color theme="1"/>
        <rFont val="Calibri"/>
        <family val="2"/>
        <scheme val="minor"/>
      </rPr>
      <t>Inputs – customize the inputs for each customer</t>
    </r>
  </si>
  <si>
    <r>
      <t>a.</t>
    </r>
    <r>
      <rPr>
        <b/>
        <sz val="14"/>
        <color theme="1"/>
        <rFont val="Times New Roman"/>
        <family val="1"/>
      </rPr>
      <t xml:space="preserve">       </t>
    </r>
    <r>
      <rPr>
        <b/>
        <sz val="14"/>
        <color theme="1"/>
        <rFont val="Calibri"/>
        <family val="2"/>
        <scheme val="minor"/>
      </rPr>
      <t># of mailboxes</t>
    </r>
  </si>
  <si>
    <r>
      <t>b.</t>
    </r>
    <r>
      <rPr>
        <b/>
        <sz val="14"/>
        <color theme="1"/>
        <rFont val="Times New Roman"/>
        <family val="1"/>
      </rPr>
      <t xml:space="preserve">      </t>
    </r>
    <r>
      <rPr>
        <b/>
        <sz val="14"/>
        <color theme="1"/>
        <rFont val="Calibri"/>
        <family val="2"/>
        <scheme val="minor"/>
      </rPr>
      <t>Average employee salary</t>
    </r>
  </si>
  <si>
    <r>
      <t>c.</t>
    </r>
    <r>
      <rPr>
        <b/>
        <sz val="14"/>
        <color theme="1"/>
        <rFont val="Times New Roman"/>
        <family val="1"/>
      </rPr>
      <t xml:space="preserve">       </t>
    </r>
    <r>
      <rPr>
        <b/>
        <sz val="14"/>
        <color theme="1"/>
        <rFont val="Calibri"/>
        <family val="2"/>
        <scheme val="minor"/>
      </rPr>
      <t>Hourly IT rate</t>
    </r>
  </si>
  <si>
    <r>
      <t>d.</t>
    </r>
    <r>
      <rPr>
        <b/>
        <sz val="14"/>
        <color theme="1"/>
        <rFont val="Times New Roman"/>
        <family val="1"/>
      </rPr>
      <t xml:space="preserve">      </t>
    </r>
    <r>
      <rPr>
        <b/>
        <sz val="14"/>
        <color theme="1"/>
        <rFont val="Calibri"/>
        <family val="2"/>
        <scheme val="minor"/>
      </rPr>
      <t>Current environment</t>
    </r>
  </si>
  <si>
    <r>
      <t>e.</t>
    </r>
    <r>
      <rPr>
        <b/>
        <sz val="14"/>
        <color theme="1"/>
        <rFont val="Times New Roman"/>
        <family val="1"/>
      </rPr>
      <t xml:space="preserve">      </t>
    </r>
    <r>
      <rPr>
        <b/>
        <sz val="14"/>
        <color theme="1"/>
        <rFont val="Calibri"/>
        <family val="2"/>
        <scheme val="minor"/>
      </rPr>
      <t>Plan (Exchange or Exchange + Archiving)</t>
    </r>
  </si>
  <si>
    <r>
      <t>f.</t>
    </r>
    <r>
      <rPr>
        <b/>
        <sz val="14"/>
        <color theme="1"/>
        <rFont val="Times New Roman"/>
        <family val="1"/>
      </rPr>
      <t xml:space="preserve">        </t>
    </r>
    <r>
      <rPr>
        <b/>
        <sz val="14"/>
        <color theme="1"/>
        <rFont val="Calibri"/>
        <family val="2"/>
        <scheme val="minor"/>
      </rPr>
      <t>Desktop software</t>
    </r>
  </si>
  <si>
    <r>
      <t>g.</t>
    </r>
    <r>
      <rPr>
        <b/>
        <sz val="14"/>
        <color theme="1"/>
        <rFont val="Times New Roman"/>
        <family val="1"/>
      </rPr>
      <t xml:space="preserve">       </t>
    </r>
    <r>
      <rPr>
        <b/>
        <sz val="14"/>
        <color theme="1"/>
        <rFont val="Calibri"/>
        <family val="2"/>
        <scheme val="minor"/>
      </rPr>
      <t>Price per mailbox</t>
    </r>
  </si>
  <si>
    <r>
      <t>2.</t>
    </r>
    <r>
      <rPr>
        <b/>
        <sz val="14"/>
        <color theme="1"/>
        <rFont val="Times New Roman"/>
        <family val="1"/>
      </rPr>
      <t xml:space="preserve">       </t>
    </r>
    <r>
      <rPr>
        <b/>
        <sz val="14"/>
        <color theme="1"/>
        <rFont val="Calibri"/>
        <family val="2"/>
        <scheme val="minor"/>
      </rPr>
      <t>Review Adjustable Assumptions and make any required edits</t>
    </r>
  </si>
  <si>
    <r>
      <t>3.</t>
    </r>
    <r>
      <rPr>
        <b/>
        <sz val="14"/>
        <color theme="1"/>
        <rFont val="Times New Roman"/>
        <family val="1"/>
      </rPr>
      <t xml:space="preserve">       </t>
    </r>
    <r>
      <rPr>
        <b/>
        <sz val="14"/>
        <color theme="1"/>
        <rFont val="Calibri"/>
        <family val="2"/>
        <scheme val="minor"/>
      </rPr>
      <t>Share the cost savings with the customer so they can learn how much they can save by deploying the “New Standard”</t>
    </r>
  </si>
  <si>
    <t>BlueRay Concepts</t>
  </si>
  <si>
    <t>David “DJ” Kent</t>
  </si>
  <si>
    <t>Server Administration, Account Manager</t>
  </si>
  <si>
    <t>http://www.bluerayconcepts.com</t>
  </si>
  <si>
    <t>Kentucky – 270 908-5004</t>
  </si>
  <si>
    <t>California – 530-237-2223</t>
  </si>
  <si>
    <t>sales@bluerayconcepts.com</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</si>
</sst>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6" formatCode="&quot;$&quot;#,##0_);[Red]\(&quot;$&quot;#,##0\)"/>
    <numFmt numFmtId="44" formatCode="_(&quot;$&quot;* #,##0.00_);_(&quot;$&quot;* \(#,##0.00\);_(&quot;$&quot;* &quot;-&quot;??_);_(@_)"/>
    <numFmt numFmtId="164" formatCode="&quot;$&quot;#,##0.00"/>
    <numFmt numFmtId="165" formatCode="&quot;$&quot;#,##0"/>
  </numFmts>
  <fonts count="10" x14ac:knownFonts="1">
    <font>
      <sz val="11"/>
      <color theme="1"/>
      <name val="Calibri"/>
      <family val="2"/>
      <scheme val="minor"/>
    </font>
    <font>
      <b/>
      <sz val="11"/>
      <color theme="1"/>
      <name val="Calibri"/>
      <family val="2"/>
      <scheme val="minor"/>
    </font>
    <font>
      <sz val="11"/>
      <color theme="1"/>
      <name val="Calibri"/>
      <family val="2"/>
      <scheme val="minor"/>
    </font>
    <font>
      <sz val="11"/>
      <name val="Calibri"/>
      <family val="2"/>
      <scheme val="minor"/>
    </font>
    <font>
      <b/>
      <sz val="11"/>
      <name val="Calibri"/>
      <family val="2"/>
      <scheme val="minor"/>
    </font>
    <font>
      <sz val="8"/>
      <color theme="1"/>
      <name val="Calibri"/>
      <family val="2"/>
      <scheme val="minor"/>
    </font>
    <font>
      <b/>
      <sz val="14"/>
      <color theme="1"/>
      <name val="Calibri"/>
      <family val="2"/>
      <scheme val="minor"/>
    </font>
    <font>
      <sz val="9"/>
      <color theme="1"/>
      <name val="Calibri"/>
      <family val="2"/>
      <scheme val="minor"/>
    </font>
    <font>
      <b/>
      <sz val="14"/>
      <color theme="1"/>
      <name val="Times New Roman"/>
      <family val="1"/>
    </font>
    <font>
      <u/>
      <sz val="11"/>
      <color theme="10"/>
      <name val="Calibri"/>
      <family val="2"/>
      <scheme val="minor"/>
    </font>
  </fonts>
  <fills count="5">
    <fill>
      <patternFill patternType="none"/>
    </fill>
    <fill>
      <patternFill patternType="gray125"/>
    </fill>
    <fill>
      <patternFill patternType="solid">
        <fgColor theme="0"/>
        <bgColor indexed="64"/>
      </patternFill>
    </fill>
    <fill>
      <patternFill patternType="solid">
        <fgColor theme="9"/>
        <bgColor indexed="64"/>
      </patternFill>
    </fill>
    <fill>
      <patternFill patternType="solid">
        <fgColor theme="6"/>
        <bgColor indexed="64"/>
      </patternFill>
    </fill>
  </fills>
  <borders count="12">
    <border>
      <left/>
      <right/>
      <top/>
      <bottom/>
      <diagonal/>
    </border>
    <border>
      <left/>
      <right/>
      <top/>
      <bottom style="double">
        <color indexed="64"/>
      </bottom>
      <diagonal/>
    </border>
    <border>
      <left style="thin">
        <color theme="1"/>
      </left>
      <right style="thin">
        <color theme="1"/>
      </right>
      <top style="thin">
        <color theme="1"/>
      </top>
      <bottom style="thin">
        <color theme="1"/>
      </bottom>
      <diagonal/>
    </border>
    <border>
      <left style="medium">
        <color rgb="FFFF0000"/>
      </left>
      <right/>
      <top style="medium">
        <color rgb="FFFF0000"/>
      </top>
      <bottom/>
      <diagonal/>
    </border>
    <border>
      <left/>
      <right/>
      <top style="medium">
        <color rgb="FFFF0000"/>
      </top>
      <bottom/>
      <diagonal/>
    </border>
    <border>
      <left/>
      <right style="medium">
        <color rgb="FFFF0000"/>
      </right>
      <top style="medium">
        <color rgb="FFFF0000"/>
      </top>
      <bottom/>
      <diagonal/>
    </border>
    <border>
      <left style="medium">
        <color rgb="FFFF0000"/>
      </left>
      <right/>
      <top/>
      <bottom/>
      <diagonal/>
    </border>
    <border>
      <left/>
      <right style="medium">
        <color rgb="FFFF0000"/>
      </right>
      <top/>
      <bottom/>
      <diagonal/>
    </border>
    <border>
      <left style="medium">
        <color rgb="FFFF0000"/>
      </left>
      <right/>
      <top/>
      <bottom style="medium">
        <color rgb="FFFF0000"/>
      </bottom>
      <diagonal/>
    </border>
    <border>
      <left/>
      <right/>
      <top/>
      <bottom style="medium">
        <color rgb="FFFF0000"/>
      </bottom>
      <diagonal/>
    </border>
    <border>
      <left/>
      <right style="medium">
        <color rgb="FFFF0000"/>
      </right>
      <top/>
      <bottom style="medium">
        <color rgb="FFFF0000"/>
      </bottom>
      <diagonal/>
    </border>
    <border>
      <left/>
      <right/>
      <top/>
      <bottom style="thin">
        <color indexed="64"/>
      </bottom>
      <diagonal/>
    </border>
  </borders>
  <cellStyleXfs count="3">
    <xf numFmtId="0" fontId="0" fillId="0" borderId="0"/>
    <xf numFmtId="44" fontId="2" fillId="0" borderId="0" applyFont="0" applyFill="0" applyBorder="0" applyAlignment="0" applyProtection="0"/>
    <xf numFmtId="0" fontId="9" fillId="0" borderId="0" applyNumberFormat="0" applyFill="0" applyBorder="0" applyAlignment="0" applyProtection="0"/>
  </cellStyleXfs>
  <cellXfs count="74">
    <xf numFmtId="0" fontId="0" fillId="0" borderId="0" xfId="0"/>
    <xf numFmtId="0" fontId="1" fillId="2" borderId="0" xfId="0" applyFont="1" applyFill="1" applyAlignment="1">
      <alignment vertical="center"/>
    </xf>
    <xf numFmtId="0" fontId="0" fillId="2" borderId="0" xfId="0" applyFont="1" applyFill="1" applyAlignment="1">
      <alignment vertical="center"/>
    </xf>
    <xf numFmtId="0" fontId="0" fillId="2" borderId="0" xfId="0" applyFont="1" applyFill="1" applyAlignment="1">
      <alignment horizontal="center" vertical="center"/>
    </xf>
    <xf numFmtId="3" fontId="0" fillId="3" borderId="2" xfId="0" applyNumberFormat="1" applyFont="1" applyFill="1" applyBorder="1" applyAlignment="1">
      <alignment horizontal="center" vertical="center"/>
    </xf>
    <xf numFmtId="3" fontId="0" fillId="2" borderId="0" xfId="0" applyNumberFormat="1" applyFont="1" applyFill="1" applyAlignment="1">
      <alignment horizontal="center" vertical="center"/>
    </xf>
    <xf numFmtId="165" fontId="0" fillId="3" borderId="2" xfId="0" applyNumberFormat="1" applyFont="1" applyFill="1" applyBorder="1" applyAlignment="1">
      <alignment horizontal="center" vertical="center"/>
    </xf>
    <xf numFmtId="165" fontId="0" fillId="2" borderId="0" xfId="0" applyNumberFormat="1" applyFont="1" applyFill="1" applyAlignment="1">
      <alignment horizontal="center" vertical="center"/>
    </xf>
    <xf numFmtId="6" fontId="0" fillId="2" borderId="0" xfId="0" applyNumberFormat="1" applyFont="1" applyFill="1" applyAlignment="1">
      <alignment horizontal="center" vertical="center"/>
    </xf>
    <xf numFmtId="0" fontId="0" fillId="3" borderId="2" xfId="0" applyFont="1" applyFill="1" applyBorder="1" applyAlignment="1">
      <alignment horizontal="center" vertical="center"/>
    </xf>
    <xf numFmtId="164" fontId="0" fillId="2" borderId="0" xfId="0" applyNumberFormat="1" applyFont="1" applyFill="1" applyAlignment="1">
      <alignment horizontal="center" vertical="center"/>
    </xf>
    <xf numFmtId="0" fontId="1" fillId="2" borderId="0" xfId="0" applyFont="1" applyFill="1" applyAlignment="1">
      <alignment horizontal="center" vertical="center"/>
    </xf>
    <xf numFmtId="0" fontId="1" fillId="2" borderId="0" xfId="0" applyFont="1" applyFill="1" applyAlignment="1">
      <alignment horizontal="center" vertical="center" wrapText="1"/>
    </xf>
    <xf numFmtId="0" fontId="0" fillId="2" borderId="0" xfId="0" applyFont="1" applyFill="1" applyAlignment="1">
      <alignment vertical="center" wrapText="1"/>
    </xf>
    <xf numFmtId="165" fontId="0" fillId="4" borderId="2" xfId="0" applyNumberFormat="1" applyFont="1" applyFill="1" applyBorder="1" applyAlignment="1">
      <alignment horizontal="center" vertical="center"/>
    </xf>
    <xf numFmtId="0" fontId="0" fillId="4" borderId="2" xfId="0" applyFont="1" applyFill="1" applyBorder="1" applyAlignment="1">
      <alignment horizontal="center" vertical="center"/>
    </xf>
    <xf numFmtId="0" fontId="0" fillId="2" borderId="0" xfId="0" applyFont="1" applyFill="1" applyBorder="1" applyAlignment="1">
      <alignment horizontal="center" vertical="center"/>
    </xf>
    <xf numFmtId="164" fontId="0" fillId="4" borderId="2" xfId="0" applyNumberFormat="1" applyFont="1" applyFill="1" applyBorder="1" applyAlignment="1">
      <alignment horizontal="center" vertical="center"/>
    </xf>
    <xf numFmtId="0" fontId="0" fillId="2" borderId="0" xfId="0" applyFont="1" applyFill="1" applyBorder="1" applyAlignment="1">
      <alignment vertical="center" wrapText="1"/>
    </xf>
    <xf numFmtId="164" fontId="0" fillId="2" borderId="0" xfId="0" applyNumberFormat="1" applyFont="1" applyFill="1" applyBorder="1" applyAlignment="1">
      <alignment horizontal="center" vertical="center"/>
    </xf>
    <xf numFmtId="3" fontId="0" fillId="2" borderId="0" xfId="0" applyNumberFormat="1" applyFont="1" applyFill="1" applyBorder="1" applyAlignment="1">
      <alignment horizontal="center" vertical="center"/>
    </xf>
    <xf numFmtId="0" fontId="3" fillId="4" borderId="2" xfId="0" applyFont="1" applyFill="1" applyBorder="1" applyAlignment="1">
      <alignment horizontal="center" vertical="center"/>
    </xf>
    <xf numFmtId="0" fontId="3" fillId="2" borderId="0" xfId="0" applyFont="1" applyFill="1" applyBorder="1" applyAlignment="1">
      <alignment horizontal="center" vertical="center"/>
    </xf>
    <xf numFmtId="164" fontId="3" fillId="4" borderId="2" xfId="0" applyNumberFormat="1" applyFont="1" applyFill="1" applyBorder="1" applyAlignment="1">
      <alignment horizontal="center" vertical="center"/>
    </xf>
    <xf numFmtId="164" fontId="3" fillId="2" borderId="0" xfId="0" applyNumberFormat="1" applyFont="1" applyFill="1" applyAlignment="1">
      <alignment horizontal="center" vertical="center"/>
    </xf>
    <xf numFmtId="0" fontId="4" fillId="2" borderId="0" xfId="0" applyFont="1" applyFill="1" applyAlignment="1">
      <alignment vertical="center"/>
    </xf>
    <xf numFmtId="164" fontId="0" fillId="2" borderId="0" xfId="1" applyNumberFormat="1" applyFont="1" applyFill="1" applyBorder="1" applyAlignment="1">
      <alignment horizontal="center" vertical="center"/>
    </xf>
    <xf numFmtId="164" fontId="0" fillId="2" borderId="0" xfId="1" applyNumberFormat="1" applyFont="1" applyFill="1" applyAlignment="1">
      <alignment horizontal="center" vertical="center"/>
    </xf>
    <xf numFmtId="165" fontId="0" fillId="2" borderId="0" xfId="1" applyNumberFormat="1" applyFont="1" applyFill="1" applyAlignment="1">
      <alignment horizontal="center" vertical="center"/>
    </xf>
    <xf numFmtId="39" fontId="0" fillId="2" borderId="0" xfId="1" applyNumberFormat="1" applyFont="1" applyFill="1" applyBorder="1" applyAlignment="1">
      <alignment horizontal="center" vertical="center"/>
    </xf>
    <xf numFmtId="39" fontId="0" fillId="2" borderId="0" xfId="1" applyNumberFormat="1" applyFont="1" applyFill="1" applyAlignment="1">
      <alignment horizontal="center" vertical="center"/>
    </xf>
    <xf numFmtId="39" fontId="0" fillId="4" borderId="2" xfId="0" applyNumberFormat="1" applyFont="1" applyFill="1" applyBorder="1" applyAlignment="1">
      <alignment horizontal="center" vertical="center"/>
    </xf>
    <xf numFmtId="39" fontId="0" fillId="2" borderId="0" xfId="0" applyNumberFormat="1" applyFont="1" applyFill="1" applyAlignment="1">
      <alignment horizontal="center" vertical="center"/>
    </xf>
    <xf numFmtId="37" fontId="0" fillId="4" borderId="2" xfId="0" applyNumberFormat="1" applyFont="1" applyFill="1" applyBorder="1" applyAlignment="1">
      <alignment horizontal="center" vertical="center"/>
    </xf>
    <xf numFmtId="37" fontId="0" fillId="2" borderId="0" xfId="0" applyNumberFormat="1" applyFont="1" applyFill="1" applyAlignment="1">
      <alignment horizontal="center" vertical="center"/>
    </xf>
    <xf numFmtId="164" fontId="0" fillId="2" borderId="0" xfId="0" applyNumberFormat="1" applyFont="1" applyFill="1" applyAlignment="1">
      <alignment vertical="center"/>
    </xf>
    <xf numFmtId="37" fontId="0" fillId="2" borderId="0" xfId="0" applyNumberFormat="1" applyFont="1" applyFill="1" applyBorder="1" applyAlignment="1">
      <alignment horizontal="center" vertical="center"/>
    </xf>
    <xf numFmtId="0" fontId="0" fillId="2" borderId="0" xfId="0" applyFill="1"/>
    <xf numFmtId="0" fontId="1" fillId="2" borderId="0" xfId="0" applyFont="1" applyFill="1" applyAlignment="1">
      <alignment horizontal="center" wrapText="1"/>
    </xf>
    <xf numFmtId="0" fontId="1" fillId="2" borderId="0" xfId="0" applyFont="1" applyFill="1"/>
    <xf numFmtId="165" fontId="0" fillId="2" borderId="0" xfId="0" applyNumberFormat="1" applyFill="1" applyAlignment="1">
      <alignment horizontal="center"/>
    </xf>
    <xf numFmtId="0" fontId="0" fillId="2" borderId="1" xfId="0" applyFill="1" applyBorder="1"/>
    <xf numFmtId="165" fontId="0" fillId="2" borderId="1" xfId="0" applyNumberFormat="1" applyFill="1" applyBorder="1" applyAlignment="1">
      <alignment horizontal="center"/>
    </xf>
    <xf numFmtId="165" fontId="1" fillId="2" borderId="0" xfId="0" applyNumberFormat="1" applyFont="1" applyFill="1" applyAlignment="1">
      <alignment horizontal="center"/>
    </xf>
    <xf numFmtId="0" fontId="0" fillId="2" borderId="0" xfId="0" applyFill="1" applyAlignment="1">
      <alignment horizontal="center"/>
    </xf>
    <xf numFmtId="0" fontId="0" fillId="2" borderId="0" xfId="0" applyFont="1" applyFill="1"/>
    <xf numFmtId="0" fontId="1" fillId="2" borderId="0" xfId="0" applyFont="1" applyFill="1" applyAlignment="1">
      <alignment wrapText="1"/>
    </xf>
    <xf numFmtId="0" fontId="1" fillId="2" borderId="3" xfId="0" applyFont="1" applyFill="1" applyBorder="1"/>
    <xf numFmtId="0" fontId="1" fillId="2" borderId="6" xfId="0" applyFont="1" applyFill="1" applyBorder="1"/>
    <xf numFmtId="165" fontId="1" fillId="2" borderId="0" xfId="0" applyNumberFormat="1" applyFont="1" applyFill="1" applyBorder="1" applyAlignment="1">
      <alignment horizontal="center"/>
    </xf>
    <xf numFmtId="165" fontId="1" fillId="2" borderId="7" xfId="0" applyNumberFormat="1" applyFont="1" applyFill="1" applyBorder="1" applyAlignment="1">
      <alignment horizontal="center"/>
    </xf>
    <xf numFmtId="0" fontId="1" fillId="2" borderId="0" xfId="0" applyFont="1" applyFill="1" applyBorder="1" applyAlignment="1">
      <alignment horizontal="center"/>
    </xf>
    <xf numFmtId="0" fontId="1" fillId="2" borderId="7" xfId="0" applyFont="1" applyFill="1" applyBorder="1" applyAlignment="1">
      <alignment horizontal="center"/>
    </xf>
    <xf numFmtId="0" fontId="1" fillId="2" borderId="8" xfId="0" applyFont="1" applyFill="1" applyBorder="1"/>
    <xf numFmtId="165" fontId="1" fillId="2" borderId="9" xfId="0" applyNumberFormat="1" applyFont="1" applyFill="1" applyBorder="1" applyAlignment="1">
      <alignment horizontal="center"/>
    </xf>
    <xf numFmtId="165" fontId="1" fillId="2" borderId="10" xfId="0" applyNumberFormat="1" applyFont="1" applyFill="1" applyBorder="1" applyAlignment="1">
      <alignment horizontal="center"/>
    </xf>
    <xf numFmtId="0" fontId="6" fillId="2" borderId="0" xfId="0" applyFont="1" applyFill="1" applyAlignment="1">
      <alignment vertical="center"/>
    </xf>
    <xf numFmtId="164" fontId="0" fillId="3" borderId="2" xfId="0" applyNumberFormat="1" applyFont="1" applyFill="1" applyBorder="1" applyAlignment="1">
      <alignment horizontal="center" vertical="center"/>
    </xf>
    <xf numFmtId="0" fontId="0" fillId="2" borderId="0" xfId="0" applyFont="1" applyFill="1" applyAlignment="1">
      <alignment horizontal="left" vertical="center"/>
    </xf>
    <xf numFmtId="165" fontId="7" fillId="3" borderId="2" xfId="0" applyNumberFormat="1" applyFont="1" applyFill="1" applyBorder="1" applyAlignment="1">
      <alignment horizontal="left" vertical="center" wrapText="1"/>
    </xf>
    <xf numFmtId="0" fontId="0" fillId="2" borderId="0" xfId="0" applyFont="1" applyFill="1" applyAlignment="1">
      <alignment horizontal="right" vertical="center"/>
    </xf>
    <xf numFmtId="0" fontId="1" fillId="2" borderId="11" xfId="0" applyFont="1" applyFill="1" applyBorder="1" applyAlignment="1">
      <alignment horizontal="center"/>
    </xf>
    <xf numFmtId="0" fontId="1" fillId="2" borderId="11" xfId="0" applyFont="1" applyFill="1" applyBorder="1" applyAlignment="1">
      <alignment horizontal="center" wrapText="1"/>
    </xf>
    <xf numFmtId="0" fontId="1" fillId="2" borderId="0" xfId="0" applyFont="1" applyFill="1" applyBorder="1" applyAlignment="1">
      <alignment horizontal="center" wrapText="1"/>
    </xf>
    <xf numFmtId="0" fontId="6" fillId="0" borderId="0" xfId="0" applyFont="1" applyAlignment="1">
      <alignment vertical="center"/>
    </xf>
    <xf numFmtId="0" fontId="6" fillId="0" borderId="0" xfId="0" applyFont="1"/>
    <xf numFmtId="0" fontId="6" fillId="0" borderId="0" xfId="0" applyFont="1" applyAlignment="1">
      <alignment horizontal="left" vertical="center" indent="5"/>
    </xf>
    <xf numFmtId="0" fontId="6" fillId="0" borderId="0" xfId="0" applyFont="1" applyAlignment="1">
      <alignment horizontal="left" vertical="center" indent="10"/>
    </xf>
    <xf numFmtId="164" fontId="1" fillId="2" borderId="4" xfId="0" applyNumberFormat="1" applyFont="1" applyFill="1" applyBorder="1" applyAlignment="1">
      <alignment horizontal="center"/>
    </xf>
    <xf numFmtId="164" fontId="1" fillId="2" borderId="5" xfId="0" applyNumberFormat="1" applyFont="1" applyFill="1" applyBorder="1" applyAlignment="1">
      <alignment horizontal="center"/>
    </xf>
    <xf numFmtId="0" fontId="5" fillId="2" borderId="0" xfId="0" applyFont="1" applyFill="1" applyAlignment="1">
      <alignment wrapText="1"/>
    </xf>
    <xf numFmtId="0" fontId="5" fillId="2" borderId="0" xfId="0" applyFont="1" applyFill="1" applyAlignment="1"/>
    <xf numFmtId="0" fontId="0" fillId="0" borderId="0" xfId="0" applyAlignment="1">
      <alignment vertical="center"/>
    </xf>
    <xf numFmtId="0" fontId="9" fillId="0" borderId="0" xfId="2" applyAlignment="1">
      <alignment vertical="center"/>
    </xf>
  </cellXfs>
  <cellStyles count="3">
    <cellStyle name="Currency" xfId="1" builtinId="4"/>
    <cellStyle name="Hyperlink" xfId="2"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5</xdr:col>
      <xdr:colOff>0</xdr:colOff>
      <xdr:row>0</xdr:row>
      <xdr:rowOff>0</xdr:rowOff>
    </xdr:from>
    <xdr:to>
      <xdr:col>9</xdr:col>
      <xdr:colOff>476687</xdr:colOff>
      <xdr:row>3</xdr:row>
      <xdr:rowOff>190613</xdr:rowOff>
    </xdr:to>
    <xdr:pic>
      <xdr:nvPicPr>
        <xdr:cNvPr id="4" name="Picture 3"/>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772150" y="0"/>
          <a:ext cx="3134162" cy="809738"/>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5</xdr:col>
      <xdr:colOff>523875</xdr:colOff>
      <xdr:row>0</xdr:row>
      <xdr:rowOff>0</xdr:rowOff>
    </xdr:from>
    <xdr:to>
      <xdr:col>11</xdr:col>
      <xdr:colOff>437</xdr:colOff>
      <xdr:row>3</xdr:row>
      <xdr:rowOff>190613</xdr:rowOff>
    </xdr:to>
    <xdr:pic>
      <xdr:nvPicPr>
        <xdr:cNvPr id="2" name="Picture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267450" y="0"/>
          <a:ext cx="3134162" cy="809738"/>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mailto:sales@bluerayconcepts.com" TargetMode="External"/><Relationship Id="rId1" Type="http://schemas.openxmlformats.org/officeDocument/2006/relationships/hyperlink" Target="http://www.bluerayconcepts.com/" TargetMode="External"/><Relationship Id="rId4"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hyperlink" Target="mailto:sales@bluerayconcepts.com" TargetMode="External"/><Relationship Id="rId1" Type="http://schemas.openxmlformats.org/officeDocument/2006/relationships/hyperlink" Target="http://www.bluerayconcepts.com/" TargetMode="External"/><Relationship Id="rId4"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5"/>
  <sheetViews>
    <sheetView workbookViewId="0">
      <selection activeCell="E21" sqref="E21"/>
    </sheetView>
  </sheetViews>
  <sheetFormatPr defaultRowHeight="15" x14ac:dyDescent="0.25"/>
  <sheetData>
    <row r="1" spans="1:15" ht="18.75" x14ac:dyDescent="0.3">
      <c r="A1" s="64" t="s">
        <v>94</v>
      </c>
      <c r="B1" s="65"/>
      <c r="C1" s="65"/>
      <c r="D1" s="65"/>
      <c r="E1" s="65"/>
      <c r="F1" s="65"/>
      <c r="G1" s="65"/>
      <c r="H1" s="65"/>
      <c r="I1" s="65"/>
      <c r="J1" s="65"/>
      <c r="K1" s="65"/>
      <c r="L1" s="65"/>
      <c r="M1" s="65"/>
      <c r="N1" s="65"/>
      <c r="O1" s="65"/>
    </row>
    <row r="2" spans="1:15" ht="18.75" x14ac:dyDescent="0.3">
      <c r="A2" s="64"/>
      <c r="B2" s="65"/>
      <c r="C2" s="65"/>
      <c r="D2" s="65"/>
      <c r="E2" s="65"/>
      <c r="F2" s="65"/>
      <c r="G2" s="65"/>
      <c r="H2" s="65"/>
      <c r="I2" s="65"/>
      <c r="J2" s="65"/>
      <c r="K2" s="65"/>
      <c r="L2" s="65"/>
      <c r="M2" s="65"/>
      <c r="N2" s="65"/>
      <c r="O2" s="65"/>
    </row>
    <row r="3" spans="1:15" ht="18.75" x14ac:dyDescent="0.3">
      <c r="A3" s="66" t="s">
        <v>95</v>
      </c>
      <c r="B3" s="65"/>
      <c r="C3" s="65"/>
      <c r="D3" s="65"/>
      <c r="E3" s="65"/>
      <c r="F3" s="65"/>
      <c r="G3" s="65"/>
      <c r="H3" s="65"/>
      <c r="I3" s="65"/>
      <c r="J3" s="65"/>
      <c r="K3" s="65"/>
      <c r="L3" s="65"/>
      <c r="M3" s="65"/>
      <c r="N3" s="65"/>
      <c r="O3" s="65"/>
    </row>
    <row r="4" spans="1:15" ht="18.75" x14ac:dyDescent="0.3">
      <c r="A4" s="67" t="s">
        <v>96</v>
      </c>
      <c r="B4" s="65"/>
      <c r="C4" s="65"/>
      <c r="D4" s="65"/>
      <c r="E4" s="65"/>
      <c r="F4" s="65"/>
      <c r="G4" s="65"/>
      <c r="H4" s="65"/>
      <c r="I4" s="65"/>
      <c r="J4" s="65"/>
      <c r="K4" s="65"/>
      <c r="L4" s="65"/>
      <c r="M4" s="65"/>
      <c r="N4" s="65"/>
      <c r="O4" s="65"/>
    </row>
    <row r="5" spans="1:15" ht="18.75" x14ac:dyDescent="0.3">
      <c r="A5" s="67" t="s">
        <v>97</v>
      </c>
      <c r="B5" s="65"/>
      <c r="C5" s="65"/>
      <c r="D5" s="65"/>
      <c r="E5" s="65"/>
      <c r="F5" s="65"/>
      <c r="G5" s="65"/>
      <c r="H5" s="65"/>
      <c r="I5" s="65"/>
      <c r="J5" s="65"/>
      <c r="K5" s="65"/>
      <c r="L5" s="65"/>
      <c r="M5" s="65"/>
      <c r="N5" s="65"/>
      <c r="O5" s="65"/>
    </row>
    <row r="6" spans="1:15" ht="18.75" x14ac:dyDescent="0.3">
      <c r="A6" s="67" t="s">
        <v>98</v>
      </c>
      <c r="B6" s="65"/>
      <c r="C6" s="65"/>
      <c r="D6" s="65"/>
      <c r="E6" s="65"/>
      <c r="F6" s="65"/>
      <c r="G6" s="65"/>
      <c r="H6" s="65"/>
      <c r="I6" s="65"/>
      <c r="J6" s="65"/>
      <c r="K6" s="65"/>
      <c r="L6" s="65"/>
      <c r="M6" s="65"/>
      <c r="N6" s="65"/>
      <c r="O6" s="65"/>
    </row>
    <row r="7" spans="1:15" ht="18.75" x14ac:dyDescent="0.3">
      <c r="A7" s="67" t="s">
        <v>99</v>
      </c>
      <c r="B7" s="65"/>
      <c r="C7" s="65"/>
      <c r="D7" s="65"/>
      <c r="E7" s="65"/>
      <c r="F7" s="65"/>
      <c r="G7" s="65"/>
      <c r="H7" s="65"/>
      <c r="I7" s="65"/>
      <c r="J7" s="65"/>
      <c r="K7" s="65"/>
      <c r="L7" s="65"/>
      <c r="M7" s="65"/>
      <c r="N7" s="65"/>
      <c r="O7" s="65"/>
    </row>
    <row r="8" spans="1:15" ht="18.75" x14ac:dyDescent="0.3">
      <c r="A8" s="67" t="s">
        <v>100</v>
      </c>
      <c r="B8" s="65"/>
      <c r="C8" s="65"/>
      <c r="D8" s="65"/>
      <c r="E8" s="65"/>
      <c r="F8" s="65"/>
      <c r="G8" s="65"/>
      <c r="H8" s="65"/>
      <c r="I8" s="65"/>
      <c r="J8" s="65"/>
      <c r="K8" s="65"/>
      <c r="L8" s="65"/>
      <c r="M8" s="65"/>
      <c r="N8" s="65"/>
      <c r="O8" s="65"/>
    </row>
    <row r="9" spans="1:15" ht="18.75" x14ac:dyDescent="0.3">
      <c r="A9" s="67" t="s">
        <v>101</v>
      </c>
      <c r="B9" s="65"/>
      <c r="C9" s="65"/>
      <c r="D9" s="65"/>
      <c r="E9" s="65"/>
      <c r="F9" s="65"/>
      <c r="G9" s="65"/>
      <c r="H9" s="65"/>
      <c r="I9" s="65"/>
      <c r="J9" s="65"/>
      <c r="K9" s="65"/>
      <c r="L9" s="65"/>
      <c r="M9" s="65"/>
      <c r="N9" s="65"/>
      <c r="O9" s="65"/>
    </row>
    <row r="10" spans="1:15" ht="18.75" x14ac:dyDescent="0.3">
      <c r="A10" s="67" t="s">
        <v>102</v>
      </c>
      <c r="B10" s="65"/>
      <c r="C10" s="65"/>
      <c r="D10" s="65"/>
      <c r="E10" s="65"/>
      <c r="F10" s="65"/>
      <c r="G10" s="65"/>
      <c r="H10" s="65"/>
      <c r="I10" s="65"/>
      <c r="J10" s="65"/>
      <c r="K10" s="65"/>
      <c r="L10" s="65"/>
      <c r="M10" s="65"/>
      <c r="N10" s="65"/>
      <c r="O10" s="65"/>
    </row>
    <row r="11" spans="1:15" ht="18.75" x14ac:dyDescent="0.3">
      <c r="A11" s="67"/>
      <c r="B11" s="65"/>
      <c r="C11" s="65"/>
      <c r="D11" s="65"/>
      <c r="E11" s="65"/>
      <c r="F11" s="65"/>
      <c r="G11" s="65"/>
      <c r="H11" s="65"/>
      <c r="I11" s="65"/>
      <c r="J11" s="65"/>
      <c r="K11" s="65"/>
      <c r="L11" s="65"/>
      <c r="M11" s="65"/>
      <c r="N11" s="65"/>
      <c r="O11" s="65"/>
    </row>
    <row r="12" spans="1:15" ht="18.75" x14ac:dyDescent="0.3">
      <c r="A12" s="66" t="s">
        <v>103</v>
      </c>
      <c r="B12" s="65"/>
      <c r="C12" s="65"/>
      <c r="D12" s="65"/>
      <c r="E12" s="65"/>
      <c r="F12" s="65"/>
      <c r="G12" s="65"/>
      <c r="H12" s="65"/>
      <c r="I12" s="65"/>
      <c r="J12" s="65"/>
      <c r="K12" s="65"/>
      <c r="L12" s="65"/>
      <c r="M12" s="65"/>
      <c r="N12" s="65"/>
      <c r="O12" s="65"/>
    </row>
    <row r="13" spans="1:15" ht="18.75" x14ac:dyDescent="0.3">
      <c r="A13" s="66"/>
      <c r="B13" s="65"/>
      <c r="C13" s="65"/>
      <c r="D13" s="65"/>
      <c r="E13" s="65"/>
      <c r="F13" s="65"/>
      <c r="G13" s="65"/>
      <c r="H13" s="65"/>
      <c r="I13" s="65"/>
      <c r="J13" s="65"/>
      <c r="K13" s="65"/>
      <c r="L13" s="65"/>
      <c r="M13" s="65"/>
      <c r="N13" s="65"/>
      <c r="O13" s="65"/>
    </row>
    <row r="14" spans="1:15" ht="18.75" x14ac:dyDescent="0.3">
      <c r="A14" s="66" t="s">
        <v>104</v>
      </c>
      <c r="B14" s="65"/>
      <c r="C14" s="65"/>
      <c r="D14" s="65"/>
      <c r="E14" s="65"/>
      <c r="F14" s="65"/>
      <c r="G14" s="65"/>
      <c r="H14" s="65"/>
      <c r="I14" s="65"/>
      <c r="J14" s="65"/>
      <c r="K14" s="65"/>
      <c r="L14" s="65"/>
      <c r="M14" s="65"/>
      <c r="N14" s="65"/>
      <c r="O14" s="65"/>
    </row>
    <row r="15" spans="1:15" ht="18.75" x14ac:dyDescent="0.3">
      <c r="A15" s="65"/>
      <c r="B15" s="65"/>
      <c r="C15" s="65"/>
      <c r="D15" s="65"/>
      <c r="E15" s="65"/>
      <c r="F15" s="65"/>
      <c r="G15" s="65"/>
      <c r="H15" s="65"/>
      <c r="I15" s="65"/>
      <c r="J15" s="65"/>
      <c r="K15" s="65"/>
      <c r="L15" s="65"/>
      <c r="M15" s="65"/>
      <c r="N15" s="65"/>
      <c r="O15" s="65"/>
    </row>
  </sheetData>
  <pageMargins left="0.7" right="0.7" top="0.75" bottom="0.75" header="0.3" footer="0.3"/>
  <pageSetup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64"/>
  <sheetViews>
    <sheetView zoomScaleNormal="100" workbookViewId="0">
      <pane ySplit="15" topLeftCell="A55" activePane="bottomLeft" state="frozen"/>
      <selection pane="bottomLeft" activeCell="F12" sqref="F1:F12"/>
    </sheetView>
  </sheetViews>
  <sheetFormatPr defaultColWidth="9.140625" defaultRowHeight="15" x14ac:dyDescent="0.25"/>
  <cols>
    <col min="1" max="2" width="2.5703125" style="2" customWidth="1"/>
    <col min="3" max="3" width="38.5703125" style="2" customWidth="1"/>
    <col min="4" max="4" width="31.7109375" style="3" customWidth="1"/>
    <col min="5" max="5" width="11.140625" style="3" customWidth="1"/>
    <col min="6" max="6" width="9" style="3" customWidth="1"/>
    <col min="7" max="7" width="11" style="3" customWidth="1"/>
    <col min="8" max="8" width="10.7109375" style="3" customWidth="1"/>
    <col min="9" max="15" width="9.140625" style="2"/>
    <col min="16" max="16" width="0" style="2" hidden="1" customWidth="1"/>
    <col min="17" max="17" width="12.5703125" style="2" hidden="1" customWidth="1"/>
    <col min="18" max="18" width="8.85546875" style="2" hidden="1" customWidth="1"/>
    <col min="19" max="19" width="9.140625" style="2" hidden="1" customWidth="1"/>
    <col min="20" max="20" width="0" style="2" hidden="1" customWidth="1"/>
    <col min="21" max="16384" width="9.140625" style="2"/>
  </cols>
  <sheetData>
    <row r="1" spans="1:22" ht="18.75" x14ac:dyDescent="0.25">
      <c r="A1" s="56" t="s">
        <v>91</v>
      </c>
    </row>
    <row r="2" spans="1:22" x14ac:dyDescent="0.25">
      <c r="C2" s="60" t="s">
        <v>92</v>
      </c>
      <c r="D2" s="58" t="s">
        <v>105</v>
      </c>
    </row>
    <row r="3" spans="1:22" x14ac:dyDescent="0.25">
      <c r="C3" s="1"/>
    </row>
    <row r="4" spans="1:22" ht="18.75" x14ac:dyDescent="0.25">
      <c r="A4" s="56" t="s">
        <v>46</v>
      </c>
      <c r="B4" s="1"/>
    </row>
    <row r="5" spans="1:22" x14ac:dyDescent="0.25">
      <c r="C5" s="2" t="s">
        <v>77</v>
      </c>
      <c r="D5" s="4">
        <v>10</v>
      </c>
      <c r="E5" s="5"/>
      <c r="F5" s="72" t="s">
        <v>106</v>
      </c>
      <c r="Q5" s="1" t="s">
        <v>56</v>
      </c>
    </row>
    <row r="6" spans="1:22" x14ac:dyDescent="0.25">
      <c r="C6" s="2" t="s">
        <v>50</v>
      </c>
      <c r="D6" s="6">
        <v>40000</v>
      </c>
      <c r="E6" s="7"/>
      <c r="F6" s="72" t="s">
        <v>107</v>
      </c>
      <c r="Q6" s="2" t="s">
        <v>81</v>
      </c>
    </row>
    <row r="7" spans="1:22" x14ac:dyDescent="0.25">
      <c r="C7" s="2" t="s">
        <v>51</v>
      </c>
      <c r="D7" s="6">
        <v>75</v>
      </c>
      <c r="E7" s="7"/>
      <c r="F7" s="72" t="s">
        <v>105</v>
      </c>
      <c r="G7" s="8"/>
      <c r="Q7" s="2" t="s">
        <v>82</v>
      </c>
    </row>
    <row r="8" spans="1:22" x14ac:dyDescent="0.25">
      <c r="C8" s="2" t="s">
        <v>83</v>
      </c>
      <c r="D8" s="59" t="s">
        <v>82</v>
      </c>
      <c r="E8" s="7"/>
      <c r="F8" s="73" t="s">
        <v>108</v>
      </c>
      <c r="G8" s="8"/>
      <c r="Q8" s="2" t="s">
        <v>27</v>
      </c>
    </row>
    <row r="9" spans="1:22" x14ac:dyDescent="0.25">
      <c r="C9" s="2" t="s">
        <v>47</v>
      </c>
      <c r="D9" s="3" t="str">
        <f>IF(OR(D8="Exchange 2010 on-premise",D8="No current email platform"),"Upgrade","Migration")</f>
        <v>Upgrade</v>
      </c>
      <c r="F9" s="72" t="s">
        <v>109</v>
      </c>
      <c r="G9" s="8"/>
      <c r="Q9" s="2" t="s">
        <v>49</v>
      </c>
    </row>
    <row r="10" spans="1:22" x14ac:dyDescent="0.25">
      <c r="C10" s="2" t="s">
        <v>48</v>
      </c>
      <c r="D10" s="9" t="s">
        <v>36</v>
      </c>
      <c r="F10" s="72" t="s">
        <v>110</v>
      </c>
      <c r="G10" s="8"/>
      <c r="Q10" s="2" t="s">
        <v>28</v>
      </c>
    </row>
    <row r="11" spans="1:22" x14ac:dyDescent="0.25">
      <c r="C11" s="2" t="s">
        <v>85</v>
      </c>
      <c r="D11" s="9" t="s">
        <v>80</v>
      </c>
      <c r="F11" s="73" t="s">
        <v>111</v>
      </c>
      <c r="G11" s="8"/>
    </row>
    <row r="12" spans="1:22" x14ac:dyDescent="0.25">
      <c r="C12" s="2" t="s">
        <v>84</v>
      </c>
      <c r="D12" s="57">
        <v>10</v>
      </c>
      <c r="F12" s="58"/>
      <c r="G12" s="8"/>
      <c r="Q12" s="2" t="s">
        <v>78</v>
      </c>
      <c r="R12" s="35"/>
      <c r="S12" s="2" t="s">
        <v>59</v>
      </c>
      <c r="T12" s="35"/>
      <c r="V12" s="35"/>
    </row>
    <row r="13" spans="1:22" x14ac:dyDescent="0.25">
      <c r="Q13" s="2" t="s">
        <v>36</v>
      </c>
      <c r="S13" s="2" t="s">
        <v>79</v>
      </c>
      <c r="T13" s="35"/>
    </row>
    <row r="14" spans="1:22" ht="18.75" x14ac:dyDescent="0.25">
      <c r="A14" s="56" t="s">
        <v>45</v>
      </c>
      <c r="B14" s="1"/>
      <c r="S14" s="2" t="s">
        <v>80</v>
      </c>
    </row>
    <row r="15" spans="1:22" ht="26.25" customHeight="1" x14ac:dyDescent="0.25">
      <c r="D15" s="61" t="s">
        <v>10</v>
      </c>
      <c r="E15" s="61" t="s">
        <v>41</v>
      </c>
      <c r="F15" s="62" t="s">
        <v>42</v>
      </c>
      <c r="G15" s="62" t="s">
        <v>40</v>
      </c>
      <c r="H15" s="62" t="s">
        <v>31</v>
      </c>
    </row>
    <row r="16" spans="1:22" ht="15" customHeight="1" x14ac:dyDescent="0.25">
      <c r="D16" s="51"/>
      <c r="E16" s="51"/>
      <c r="F16" s="63"/>
      <c r="G16" s="63"/>
      <c r="H16" s="63"/>
    </row>
    <row r="17" spans="1:8" x14ac:dyDescent="0.25">
      <c r="A17" s="1" t="s">
        <v>23</v>
      </c>
      <c r="B17" s="1"/>
      <c r="D17" s="11"/>
      <c r="E17" s="11"/>
      <c r="F17" s="12"/>
      <c r="G17" s="11"/>
      <c r="H17" s="11"/>
    </row>
    <row r="18" spans="1:8" x14ac:dyDescent="0.25">
      <c r="B18" s="2" t="s">
        <v>4</v>
      </c>
      <c r="D18" s="11"/>
      <c r="E18" s="11"/>
      <c r="F18" s="12"/>
      <c r="G18" s="11"/>
      <c r="H18" s="11"/>
    </row>
    <row r="19" spans="1:8" ht="27" customHeight="1" x14ac:dyDescent="0.25">
      <c r="C19" s="13" t="s">
        <v>29</v>
      </c>
      <c r="D19" s="14">
        <v>1959</v>
      </c>
      <c r="E19" s="7" t="s">
        <v>32</v>
      </c>
      <c r="F19" s="15">
        <v>1</v>
      </c>
      <c r="G19" s="7">
        <f>D19*F19</f>
        <v>1959</v>
      </c>
      <c r="H19" s="3" t="s">
        <v>11</v>
      </c>
    </row>
    <row r="20" spans="1:8" x14ac:dyDescent="0.25">
      <c r="G20" s="7"/>
    </row>
    <row r="21" spans="1:8" x14ac:dyDescent="0.25">
      <c r="B21" s="2" t="s">
        <v>5</v>
      </c>
      <c r="G21" s="7"/>
    </row>
    <row r="22" spans="1:8" x14ac:dyDescent="0.25">
      <c r="C22" s="2" t="s">
        <v>0</v>
      </c>
      <c r="D22" s="17">
        <v>685</v>
      </c>
      <c r="E22" s="10" t="s">
        <v>32</v>
      </c>
      <c r="F22" s="3">
        <f>F19</f>
        <v>1</v>
      </c>
      <c r="G22" s="7">
        <f t="shared" ref="G22:G25" si="0">D22*F22</f>
        <v>685</v>
      </c>
      <c r="H22" s="3" t="s">
        <v>11</v>
      </c>
    </row>
    <row r="23" spans="1:8" x14ac:dyDescent="0.25">
      <c r="C23" s="2" t="s">
        <v>1</v>
      </c>
      <c r="D23" s="17">
        <v>34.64</v>
      </c>
      <c r="E23" s="10" t="s">
        <v>35</v>
      </c>
      <c r="F23" s="3">
        <f>D5</f>
        <v>10</v>
      </c>
      <c r="G23" s="7">
        <f t="shared" si="0"/>
        <v>346.4</v>
      </c>
      <c r="H23" s="3" t="s">
        <v>11</v>
      </c>
    </row>
    <row r="24" spans="1:8" x14ac:dyDescent="0.25">
      <c r="C24" s="2" t="s">
        <v>2</v>
      </c>
      <c r="D24" s="17">
        <v>699</v>
      </c>
      <c r="E24" s="10" t="s">
        <v>32</v>
      </c>
      <c r="F24" s="3">
        <f>F19</f>
        <v>1</v>
      </c>
      <c r="G24" s="7">
        <f t="shared" si="0"/>
        <v>699</v>
      </c>
      <c r="H24" s="3" t="s">
        <v>11</v>
      </c>
    </row>
    <row r="25" spans="1:8" x14ac:dyDescent="0.25">
      <c r="C25" s="2" t="s">
        <v>3</v>
      </c>
      <c r="D25" s="17">
        <v>78</v>
      </c>
      <c r="E25" s="10" t="s">
        <v>35</v>
      </c>
      <c r="F25" s="3">
        <f>D5</f>
        <v>10</v>
      </c>
      <c r="G25" s="7">
        <f t="shared" si="0"/>
        <v>780</v>
      </c>
      <c r="H25" s="3" t="s">
        <v>11</v>
      </c>
    </row>
    <row r="26" spans="1:8" x14ac:dyDescent="0.25">
      <c r="C26" s="2" t="s">
        <v>19</v>
      </c>
      <c r="D26" s="17">
        <v>373</v>
      </c>
      <c r="E26" s="10" t="s">
        <v>35</v>
      </c>
      <c r="F26" s="3">
        <f>D5</f>
        <v>10</v>
      </c>
      <c r="G26" s="7">
        <f>IF(D11="Office",D26*F26,0)</f>
        <v>0</v>
      </c>
      <c r="H26" s="3" t="s">
        <v>11</v>
      </c>
    </row>
    <row r="27" spans="1:8" x14ac:dyDescent="0.25">
      <c r="C27" s="2" t="s">
        <v>65</v>
      </c>
      <c r="D27" s="17">
        <v>109</v>
      </c>
      <c r="E27" s="10" t="s">
        <v>35</v>
      </c>
      <c r="F27" s="5">
        <f>D5</f>
        <v>10</v>
      </c>
      <c r="G27" s="7">
        <f>IF(D11="Outlook only",D27*F27,0)</f>
        <v>1090</v>
      </c>
      <c r="H27" s="3" t="s">
        <v>11</v>
      </c>
    </row>
    <row r="28" spans="1:8" x14ac:dyDescent="0.25">
      <c r="G28" s="7"/>
    </row>
    <row r="29" spans="1:8" x14ac:dyDescent="0.25">
      <c r="B29" s="2" t="s">
        <v>61</v>
      </c>
      <c r="G29" s="7"/>
    </row>
    <row r="30" spans="1:8" ht="30" x14ac:dyDescent="0.25">
      <c r="C30" s="13" t="s">
        <v>86</v>
      </c>
      <c r="D30" s="14">
        <v>2667.99</v>
      </c>
      <c r="E30" s="7" t="s">
        <v>34</v>
      </c>
      <c r="F30" s="16">
        <v>1</v>
      </c>
      <c r="G30" s="7">
        <f>D30*F30</f>
        <v>2667.99</v>
      </c>
      <c r="H30" s="3" t="s">
        <v>11</v>
      </c>
    </row>
    <row r="31" spans="1:8" ht="30" x14ac:dyDescent="0.25">
      <c r="C31" s="13" t="s">
        <v>24</v>
      </c>
      <c r="D31" s="14">
        <f>699+449</f>
        <v>1148</v>
      </c>
      <c r="E31" s="7" t="s">
        <v>34</v>
      </c>
      <c r="F31" s="16">
        <v>1</v>
      </c>
      <c r="G31" s="7">
        <f>D31*F31</f>
        <v>1148</v>
      </c>
      <c r="H31" s="3" t="s">
        <v>52</v>
      </c>
    </row>
    <row r="32" spans="1:8" x14ac:dyDescent="0.25">
      <c r="G32" s="7"/>
    </row>
    <row r="33" spans="1:8" x14ac:dyDescent="0.25">
      <c r="B33" s="2" t="s">
        <v>7</v>
      </c>
      <c r="G33" s="7"/>
    </row>
    <row r="34" spans="1:8" x14ac:dyDescent="0.25">
      <c r="C34" s="2" t="s">
        <v>8</v>
      </c>
      <c r="D34" s="15">
        <v>5</v>
      </c>
      <c r="E34" s="3" t="s">
        <v>33</v>
      </c>
      <c r="F34" s="5">
        <f>D5</f>
        <v>10</v>
      </c>
      <c r="G34" s="7"/>
    </row>
    <row r="35" spans="1:8" ht="30" x14ac:dyDescent="0.25">
      <c r="C35" s="13" t="s">
        <v>88</v>
      </c>
      <c r="D35" s="17">
        <v>3.5</v>
      </c>
      <c r="E35" s="10" t="s">
        <v>38</v>
      </c>
      <c r="F35" s="3">
        <f>IF(F19=2,D34*D5*2,D34*D5)</f>
        <v>50</v>
      </c>
      <c r="G35" s="7">
        <f>F35*D35</f>
        <v>175</v>
      </c>
      <c r="H35" s="3" t="s">
        <v>11</v>
      </c>
    </row>
    <row r="36" spans="1:8" x14ac:dyDescent="0.25">
      <c r="D36" s="8"/>
      <c r="E36" s="8"/>
      <c r="G36" s="7"/>
    </row>
    <row r="37" spans="1:8" x14ac:dyDescent="0.25">
      <c r="A37" s="1" t="s">
        <v>60</v>
      </c>
      <c r="B37" s="1"/>
      <c r="G37" s="7"/>
    </row>
    <row r="38" spans="1:8" x14ac:dyDescent="0.25">
      <c r="B38" s="2" t="s">
        <v>63</v>
      </c>
      <c r="G38" s="7"/>
    </row>
    <row r="39" spans="1:8" ht="30" x14ac:dyDescent="0.25">
      <c r="C39" s="13" t="s">
        <v>16</v>
      </c>
      <c r="D39" s="23">
        <v>1999</v>
      </c>
      <c r="E39" s="24" t="s">
        <v>34</v>
      </c>
      <c r="F39" s="3">
        <v>1</v>
      </c>
      <c r="G39" s="7">
        <f t="shared" ref="G39:G44" si="1">IF($D$10="Exchange + Archiving",F39*D39,0)</f>
        <v>1999</v>
      </c>
      <c r="H39" s="3" t="s">
        <v>11</v>
      </c>
    </row>
    <row r="40" spans="1:8" x14ac:dyDescent="0.25">
      <c r="C40" s="2" t="s">
        <v>25</v>
      </c>
      <c r="D40" s="23">
        <f>449+499</f>
        <v>948</v>
      </c>
      <c r="E40" s="24" t="s">
        <v>34</v>
      </c>
      <c r="F40" s="3">
        <v>1</v>
      </c>
      <c r="G40" s="7">
        <f t="shared" si="1"/>
        <v>948</v>
      </c>
      <c r="H40" s="3" t="s">
        <v>52</v>
      </c>
    </row>
    <row r="41" spans="1:8" x14ac:dyDescent="0.25">
      <c r="C41" s="2" t="s">
        <v>26</v>
      </c>
      <c r="D41" s="23">
        <v>999</v>
      </c>
      <c r="E41" s="24" t="s">
        <v>34</v>
      </c>
      <c r="F41" s="3">
        <v>1</v>
      </c>
      <c r="G41" s="7">
        <f t="shared" si="1"/>
        <v>999</v>
      </c>
      <c r="H41" s="3" t="s">
        <v>52</v>
      </c>
    </row>
    <row r="42" spans="1:8" ht="30" x14ac:dyDescent="0.25">
      <c r="C42" s="13" t="s">
        <v>17</v>
      </c>
      <c r="D42" s="23">
        <v>8999</v>
      </c>
      <c r="E42" s="24" t="s">
        <v>34</v>
      </c>
      <c r="F42" s="3">
        <v>1</v>
      </c>
      <c r="G42" s="7">
        <f t="shared" si="1"/>
        <v>8999</v>
      </c>
      <c r="H42" s="3" t="s">
        <v>11</v>
      </c>
    </row>
    <row r="43" spans="1:8" x14ac:dyDescent="0.25">
      <c r="C43" s="2" t="s">
        <v>25</v>
      </c>
      <c r="D43" s="23">
        <f>1999+2449</f>
        <v>4448</v>
      </c>
      <c r="E43" s="24" t="s">
        <v>34</v>
      </c>
      <c r="F43" s="3">
        <v>1</v>
      </c>
      <c r="G43" s="7">
        <f t="shared" si="1"/>
        <v>4448</v>
      </c>
      <c r="H43" s="3" t="s">
        <v>52</v>
      </c>
    </row>
    <row r="44" spans="1:8" x14ac:dyDescent="0.25">
      <c r="C44" s="2" t="s">
        <v>26</v>
      </c>
      <c r="D44" s="23">
        <v>4499</v>
      </c>
      <c r="E44" s="24" t="s">
        <v>34</v>
      </c>
      <c r="F44" s="3">
        <v>1</v>
      </c>
      <c r="G44" s="7">
        <f t="shared" si="1"/>
        <v>4499</v>
      </c>
      <c r="H44" s="3" t="s">
        <v>52</v>
      </c>
    </row>
    <row r="45" spans="1:8" x14ac:dyDescent="0.25">
      <c r="G45" s="7"/>
    </row>
    <row r="46" spans="1:8" x14ac:dyDescent="0.25">
      <c r="A46" s="25" t="s">
        <v>14</v>
      </c>
      <c r="B46" s="25"/>
      <c r="G46" s="7"/>
    </row>
    <row r="47" spans="1:8" ht="15" customHeight="1" x14ac:dyDescent="0.25">
      <c r="C47" s="2" t="s">
        <v>15</v>
      </c>
      <c r="D47" s="17">
        <v>75</v>
      </c>
      <c r="E47" s="10"/>
      <c r="F47" s="3">
        <v>1</v>
      </c>
      <c r="G47" s="7">
        <f>F47*D47</f>
        <v>75</v>
      </c>
      <c r="H47" s="3" t="s">
        <v>54</v>
      </c>
    </row>
    <row r="48" spans="1:8" x14ac:dyDescent="0.25">
      <c r="G48" s="7"/>
    </row>
    <row r="49" spans="1:8" x14ac:dyDescent="0.25">
      <c r="A49" s="1" t="s">
        <v>62</v>
      </c>
      <c r="G49" s="7"/>
    </row>
    <row r="50" spans="1:8" ht="30" x14ac:dyDescent="0.25">
      <c r="C50" s="18" t="s">
        <v>9</v>
      </c>
      <c r="D50" s="17">
        <v>15</v>
      </c>
      <c r="E50" s="19" t="s">
        <v>33</v>
      </c>
      <c r="F50" s="20">
        <f>D5</f>
        <v>10</v>
      </c>
      <c r="G50" s="7">
        <f>IF(D9="Migration",D50*F50,0)</f>
        <v>0</v>
      </c>
      <c r="H50" s="3" t="s">
        <v>11</v>
      </c>
    </row>
    <row r="51" spans="1:8" ht="30" x14ac:dyDescent="0.25">
      <c r="C51" s="18" t="s">
        <v>30</v>
      </c>
      <c r="D51" s="21">
        <f>IF(D9="Migration",80,0)</f>
        <v>0</v>
      </c>
      <c r="E51" s="22" t="s">
        <v>18</v>
      </c>
      <c r="F51" s="20">
        <f>D5</f>
        <v>10</v>
      </c>
      <c r="G51" s="7">
        <f>IF(D9="Migration",(((ROUNDUP((F51/50),0)))*$D$7*D51),0)</f>
        <v>0</v>
      </c>
      <c r="H51" s="3" t="s">
        <v>11</v>
      </c>
    </row>
    <row r="52" spans="1:8" ht="30" x14ac:dyDescent="0.25">
      <c r="C52" s="18" t="s">
        <v>37</v>
      </c>
      <c r="D52" s="21">
        <v>0.5</v>
      </c>
      <c r="E52" s="22" t="s">
        <v>35</v>
      </c>
      <c r="F52" s="20">
        <f>D5</f>
        <v>10</v>
      </c>
      <c r="G52" s="7">
        <f>$D$7*D52*F52</f>
        <v>375</v>
      </c>
      <c r="H52" s="3" t="s">
        <v>11</v>
      </c>
    </row>
    <row r="53" spans="1:8" x14ac:dyDescent="0.25">
      <c r="G53" s="7"/>
    </row>
    <row r="54" spans="1:8" x14ac:dyDescent="0.25">
      <c r="A54" s="1" t="s">
        <v>12</v>
      </c>
      <c r="B54" s="1"/>
      <c r="D54" s="8"/>
      <c r="E54" s="8"/>
      <c r="G54" s="7"/>
    </row>
    <row r="55" spans="1:8" ht="30" x14ac:dyDescent="0.25">
      <c r="C55" s="13" t="s">
        <v>57</v>
      </c>
      <c r="D55" s="31">
        <v>0.5</v>
      </c>
      <c r="E55" s="32" t="s">
        <v>35</v>
      </c>
      <c r="F55" s="5">
        <f>D5</f>
        <v>10</v>
      </c>
      <c r="G55" s="7">
        <f>D55*D7*F55</f>
        <v>375</v>
      </c>
      <c r="H55" s="3" t="s">
        <v>54</v>
      </c>
    </row>
    <row r="56" spans="1:8" ht="45" x14ac:dyDescent="0.25">
      <c r="C56" s="13" t="s">
        <v>58</v>
      </c>
      <c r="D56" s="33">
        <v>40</v>
      </c>
      <c r="E56" s="34" t="s">
        <v>39</v>
      </c>
      <c r="F56" s="3">
        <v>1</v>
      </c>
      <c r="G56" s="7">
        <f>D56*D7</f>
        <v>3000</v>
      </c>
      <c r="H56" s="3" t="s">
        <v>54</v>
      </c>
    </row>
    <row r="57" spans="1:8" x14ac:dyDescent="0.25">
      <c r="C57" s="13"/>
      <c r="D57" s="36"/>
      <c r="E57" s="34"/>
      <c r="G57" s="7"/>
    </row>
    <row r="58" spans="1:8" x14ac:dyDescent="0.25">
      <c r="A58" s="1" t="s">
        <v>13</v>
      </c>
      <c r="B58" s="1"/>
      <c r="G58" s="7"/>
    </row>
    <row r="59" spans="1:8" ht="45" x14ac:dyDescent="0.25">
      <c r="C59" s="13" t="s">
        <v>89</v>
      </c>
      <c r="D59" s="26">
        <f>D6/2000/60</f>
        <v>0.33333333333333331</v>
      </c>
      <c r="E59" s="27" t="s">
        <v>35</v>
      </c>
      <c r="F59" s="3">
        <f>D5</f>
        <v>10</v>
      </c>
      <c r="G59" s="28">
        <f>F59*D59</f>
        <v>3.333333333333333</v>
      </c>
      <c r="H59" s="3" t="s">
        <v>55</v>
      </c>
    </row>
    <row r="60" spans="1:8" ht="30" x14ac:dyDescent="0.25">
      <c r="C60" s="13" t="s">
        <v>20</v>
      </c>
      <c r="D60" s="29">
        <v>45</v>
      </c>
      <c r="E60" s="30" t="s">
        <v>39</v>
      </c>
      <c r="F60" s="3">
        <v>1</v>
      </c>
      <c r="G60" s="7">
        <f>D60*G59</f>
        <v>150</v>
      </c>
      <c r="H60" s="3" t="s">
        <v>54</v>
      </c>
    </row>
    <row r="61" spans="1:8" ht="30" x14ac:dyDescent="0.25">
      <c r="C61" s="13" t="s">
        <v>87</v>
      </c>
      <c r="D61" s="29">
        <f>25.9/60</f>
        <v>0.43166666666666664</v>
      </c>
      <c r="E61" s="30" t="s">
        <v>39</v>
      </c>
      <c r="F61" s="3">
        <v>1</v>
      </c>
      <c r="G61" s="7">
        <f>D61*G59</f>
        <v>1.4388888888888887</v>
      </c>
      <c r="H61" s="3" t="s">
        <v>54</v>
      </c>
    </row>
    <row r="62" spans="1:8" x14ac:dyDescent="0.25">
      <c r="C62" s="13"/>
      <c r="D62" s="36"/>
      <c r="E62" s="34"/>
      <c r="G62" s="7"/>
    </row>
    <row r="63" spans="1:8" x14ac:dyDescent="0.25">
      <c r="C63" s="13"/>
      <c r="G63" s="8"/>
    </row>
    <row r="64" spans="1:8" ht="18.75" x14ac:dyDescent="0.25">
      <c r="A64" s="56" t="s">
        <v>53</v>
      </c>
      <c r="B64" s="1"/>
      <c r="C64" s="13"/>
      <c r="G64" s="8"/>
    </row>
  </sheetData>
  <sortState ref="U10:V11">
    <sortCondition ref="U10:U11"/>
  </sortState>
  <dataValidations count="4">
    <dataValidation type="list" allowBlank="1" showInputMessage="1" showErrorMessage="1" sqref="E8">
      <formula1>$Q$6:$Q$10</formula1>
    </dataValidation>
    <dataValidation type="list" showInputMessage="1" showErrorMessage="1" sqref="D8">
      <formula1>$Q$6:$Q$10</formula1>
    </dataValidation>
    <dataValidation type="list" allowBlank="1" showInputMessage="1" showErrorMessage="1" promptTitle="Choose from dropdown" sqref="D11">
      <formula1>$S$12:$S$14</formula1>
    </dataValidation>
    <dataValidation type="list" allowBlank="1" showInputMessage="1" showErrorMessage="1" sqref="D10">
      <formula1>$Q$13:$Q$14</formula1>
    </dataValidation>
  </dataValidations>
  <hyperlinks>
    <hyperlink ref="F8" r:id="rId1" display="http://www.bluerayconcepts.com/"/>
    <hyperlink ref="F11" r:id="rId2"/>
  </hyperlinks>
  <printOptions horizontalCentered="1"/>
  <pageMargins left="0.25" right="0.25" top="0.5" bottom="0.5" header="0.3" footer="0.3"/>
  <pageSetup scale="85" orientation="portrait" r:id="rId3"/>
  <drawing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0"/>
  <sheetViews>
    <sheetView tabSelected="1" zoomScaleNormal="100" workbookViewId="0">
      <selection activeCell="J17" sqref="J17:J18"/>
    </sheetView>
  </sheetViews>
  <sheetFormatPr defaultColWidth="9.140625" defaultRowHeight="15" x14ac:dyDescent="0.25"/>
  <cols>
    <col min="1" max="2" width="2.28515625" style="37" customWidth="1"/>
    <col min="3" max="3" width="36.7109375" style="37" customWidth="1"/>
    <col min="4" max="5" width="22.42578125" style="37" customWidth="1"/>
    <col min="6" max="16384" width="9.140625" style="37"/>
  </cols>
  <sheetData>
    <row r="1" spans="1:7" ht="18.75" x14ac:dyDescent="0.25">
      <c r="A1" s="56" t="s">
        <v>91</v>
      </c>
      <c r="B1" s="56"/>
      <c r="C1" s="2"/>
      <c r="D1" s="2"/>
      <c r="F1" s="3"/>
    </row>
    <row r="2" spans="1:7" x14ac:dyDescent="0.25">
      <c r="A2" s="2"/>
      <c r="B2" s="2"/>
      <c r="C2" s="60" t="s">
        <v>93</v>
      </c>
      <c r="D2" s="58" t="s">
        <v>105</v>
      </c>
      <c r="F2" s="3"/>
    </row>
    <row r="3" spans="1:7" x14ac:dyDescent="0.25">
      <c r="F3" s="3"/>
    </row>
    <row r="4" spans="1:7" ht="18.75" x14ac:dyDescent="0.25">
      <c r="A4" s="56" t="s">
        <v>74</v>
      </c>
      <c r="B4" s="56"/>
      <c r="F4" s="3"/>
      <c r="G4" s="72" t="s">
        <v>106</v>
      </c>
    </row>
    <row r="5" spans="1:7" x14ac:dyDescent="0.25">
      <c r="G5" s="72" t="s">
        <v>107</v>
      </c>
    </row>
    <row r="6" spans="1:7" ht="54" customHeight="1" x14ac:dyDescent="0.25">
      <c r="D6" s="38" t="str">
        <f>'Inputs and Assumptions'!D10&amp;" plan"</f>
        <v>Exchange + Archiving plan</v>
      </c>
      <c r="E6" s="38" t="s">
        <v>72</v>
      </c>
      <c r="G6" s="72" t="s">
        <v>105</v>
      </c>
    </row>
    <row r="7" spans="1:7" x14ac:dyDescent="0.25">
      <c r="B7" s="39" t="s">
        <v>43</v>
      </c>
      <c r="G7" s="73" t="s">
        <v>108</v>
      </c>
    </row>
    <row r="8" spans="1:7" x14ac:dyDescent="0.25">
      <c r="C8" s="37" t="s">
        <v>64</v>
      </c>
      <c r="D8" s="40">
        <v>0</v>
      </c>
      <c r="E8" s="40">
        <f>IF('Inputs and Assumptions'!D5&lt;150,'Inputs and Assumptions'!G39,'Inputs and Assumptions'!G42)+'Inputs and Assumptions'!G19+'Inputs and Assumptions'!G30</f>
        <v>6625.99</v>
      </c>
      <c r="G8" s="72" t="s">
        <v>109</v>
      </c>
    </row>
    <row r="9" spans="1:7" x14ac:dyDescent="0.25">
      <c r="C9" s="37" t="s">
        <v>5</v>
      </c>
      <c r="D9" s="40">
        <v>0</v>
      </c>
      <c r="E9" s="40">
        <f>SUM('Inputs and Assumptions'!G22:G27)</f>
        <v>3600.4</v>
      </c>
      <c r="G9" s="72" t="s">
        <v>110</v>
      </c>
    </row>
    <row r="10" spans="1:7" ht="15.75" thickBot="1" x14ac:dyDescent="0.3">
      <c r="C10" s="41" t="s">
        <v>6</v>
      </c>
      <c r="D10" s="42">
        <f>'Inputs and Assumptions'!G52</f>
        <v>375</v>
      </c>
      <c r="E10" s="42">
        <f>'Inputs and Assumptions'!G52+'Inputs and Assumptions'!G51+'Inputs and Assumptions'!G50</f>
        <v>375</v>
      </c>
      <c r="G10" s="73" t="s">
        <v>111</v>
      </c>
    </row>
    <row r="11" spans="1:7" ht="15.75" thickTop="1" x14ac:dyDescent="0.25">
      <c r="C11" s="39" t="s">
        <v>21</v>
      </c>
      <c r="D11" s="43">
        <f>SUM(D8:D10)</f>
        <v>375</v>
      </c>
      <c r="E11" s="43">
        <f>SUM(E8:E10)</f>
        <v>10601.39</v>
      </c>
      <c r="G11" s="58"/>
    </row>
    <row r="12" spans="1:7" x14ac:dyDescent="0.25">
      <c r="D12" s="44"/>
      <c r="E12" s="44"/>
    </row>
    <row r="13" spans="1:7" x14ac:dyDescent="0.25">
      <c r="B13" s="39" t="s">
        <v>66</v>
      </c>
      <c r="D13" s="44"/>
      <c r="E13" s="44"/>
    </row>
    <row r="14" spans="1:7" x14ac:dyDescent="0.25">
      <c r="C14" s="37" t="s">
        <v>76</v>
      </c>
      <c r="D14" s="40">
        <f>'Inputs and Assumptions'!D5*'Inputs and Assumptions'!D12</f>
        <v>100</v>
      </c>
      <c r="E14" s="40">
        <v>0</v>
      </c>
    </row>
    <row r="15" spans="1:7" x14ac:dyDescent="0.25">
      <c r="C15" s="37" t="s">
        <v>67</v>
      </c>
      <c r="D15" s="40">
        <v>0</v>
      </c>
      <c r="E15" s="40">
        <f>'Inputs and Assumptions'!G31/12</f>
        <v>95.666666666666671</v>
      </c>
    </row>
    <row r="16" spans="1:7" x14ac:dyDescent="0.25">
      <c r="C16" s="37" t="s">
        <v>68</v>
      </c>
      <c r="D16" s="40">
        <v>0</v>
      </c>
      <c r="E16" s="40">
        <f>IF('Inputs and Assumptions'!D5&lt;150,(SUM('Inputs and Assumptions'!G40:G41)/12),(SUM('Inputs and Assumptions'!G43:G44)/12))</f>
        <v>162.25</v>
      </c>
    </row>
    <row r="17" spans="2:5" x14ac:dyDescent="0.25">
      <c r="C17" s="37" t="s">
        <v>14</v>
      </c>
      <c r="D17" s="40">
        <v>0</v>
      </c>
      <c r="E17" s="40">
        <f>'Inputs and Assumptions'!G47</f>
        <v>75</v>
      </c>
    </row>
    <row r="18" spans="2:5" ht="15.75" thickBot="1" x14ac:dyDescent="0.3">
      <c r="C18" s="41" t="s">
        <v>69</v>
      </c>
      <c r="D18" s="42">
        <f>'Inputs and Assumptions'!G55</f>
        <v>375</v>
      </c>
      <c r="E18" s="42">
        <f>'Inputs and Assumptions'!G56+'Inputs and Assumptions'!G55</f>
        <v>3375</v>
      </c>
    </row>
    <row r="19" spans="2:5" ht="15.75" thickTop="1" x14ac:dyDescent="0.25">
      <c r="C19" s="39" t="s">
        <v>22</v>
      </c>
      <c r="D19" s="43">
        <f>SUM(D14:D18)</f>
        <v>475</v>
      </c>
      <c r="E19" s="43">
        <f>SUM(E14:E18)</f>
        <v>3707.9166666666665</v>
      </c>
    </row>
    <row r="20" spans="2:5" x14ac:dyDescent="0.25">
      <c r="D20" s="44"/>
      <c r="E20" s="44"/>
    </row>
    <row r="21" spans="2:5" x14ac:dyDescent="0.25">
      <c r="B21" s="45" t="s">
        <v>73</v>
      </c>
      <c r="C21" s="46"/>
      <c r="D21" s="40">
        <f>'Inputs and Assumptions'!G61</f>
        <v>1.4388888888888887</v>
      </c>
      <c r="E21" s="40">
        <f>'Inputs and Assumptions'!G60</f>
        <v>150</v>
      </c>
    </row>
    <row r="22" spans="2:5" ht="26.25" customHeight="1" x14ac:dyDescent="0.25">
      <c r="C22" s="70" t="s">
        <v>75</v>
      </c>
      <c r="D22" s="71"/>
      <c r="E22" s="71"/>
    </row>
    <row r="23" spans="2:5" ht="15.75" thickBot="1" x14ac:dyDescent="0.3">
      <c r="D23" s="44"/>
      <c r="E23" s="44"/>
    </row>
    <row r="24" spans="2:5" x14ac:dyDescent="0.25">
      <c r="C24" s="47" t="s">
        <v>44</v>
      </c>
      <c r="D24" s="68">
        <f>D11+(D19*12)</f>
        <v>6075</v>
      </c>
      <c r="E24" s="69">
        <f>E11+(E19*12)</f>
        <v>55096.39</v>
      </c>
    </row>
    <row r="25" spans="2:5" x14ac:dyDescent="0.25">
      <c r="C25" s="48" t="s">
        <v>70</v>
      </c>
      <c r="D25" s="49">
        <f>D11+(D19*36)</f>
        <v>17475</v>
      </c>
      <c r="E25" s="50">
        <f>E11+(E19*36)</f>
        <v>144086.39000000001</v>
      </c>
    </row>
    <row r="26" spans="2:5" x14ac:dyDescent="0.25">
      <c r="C26" s="48"/>
      <c r="D26" s="51"/>
      <c r="E26" s="52"/>
    </row>
    <row r="27" spans="2:5" ht="15.75" thickBot="1" x14ac:dyDescent="0.3">
      <c r="C27" s="53" t="s">
        <v>71</v>
      </c>
      <c r="D27" s="54">
        <f>D11+((D19+D21)*36)</f>
        <v>17526.8</v>
      </c>
      <c r="E27" s="55">
        <f>E11+((E19+E21)*36)</f>
        <v>149486.39000000001</v>
      </c>
    </row>
    <row r="30" spans="2:5" ht="70.5" customHeight="1" x14ac:dyDescent="0.25">
      <c r="C30" s="70" t="s">
        <v>90</v>
      </c>
      <c r="D30" s="71"/>
      <c r="E30" s="71"/>
    </row>
  </sheetData>
  <mergeCells count="2">
    <mergeCell ref="C30:E30"/>
    <mergeCell ref="C22:E22"/>
  </mergeCells>
  <hyperlinks>
    <hyperlink ref="G7" r:id="rId1" display="http://www.bluerayconcepts.com/"/>
    <hyperlink ref="G10" r:id="rId2"/>
  </hyperlinks>
  <pageMargins left="0.7" right="0.7" top="0.75" bottom="0.75" header="0.3" footer="0.3"/>
  <pageSetup orientation="portrait" r:id="rId3"/>
  <drawing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3</vt:i4>
      </vt:variant>
    </vt:vector>
  </HeadingPairs>
  <TitlesOfParts>
    <vt:vector size="6" baseType="lpstr">
      <vt:lpstr>Instructions</vt:lpstr>
      <vt:lpstr>Inputs and Assumptions</vt:lpstr>
      <vt:lpstr>Comparison</vt:lpstr>
      <vt:lpstr>'Inputs and Assumptions'!_MailAutoSig</vt:lpstr>
      <vt:lpstr>'Inputs and Assumptions'!Print_Area</vt:lpstr>
      <vt:lpstr>'Inputs and Assumptions'!Print_Titles</vt:lpstr>
    </vt:vector>
  </TitlesOfParts>
  <Company>Intermedia, Inc.</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Laura Sankey</dc:creator>
  <cp:lastModifiedBy>David</cp:lastModifiedBy>
  <cp:lastPrinted>2015-08-10T19:57:40Z</cp:lastPrinted>
  <dcterms:created xsi:type="dcterms:W3CDTF">2015-07-07T17:07:48Z</dcterms:created>
  <dcterms:modified xsi:type="dcterms:W3CDTF">2016-02-12T12:56:06Z</dcterms:modified>
</cp:coreProperties>
</file>